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TJS0014\Desktop\"/>
    </mc:Choice>
  </mc:AlternateContent>
  <xr:revisionPtr revIDLastSave="0" documentId="13_ncr:1_{2483ADA0-BBD9-4D48-8F8D-ACC1CE380AD8}" xr6:coauthVersionLast="47" xr6:coauthVersionMax="47" xr10:uidLastSave="{00000000-0000-0000-0000-000000000000}"/>
  <bookViews>
    <workbookView xWindow="-110" yWindow="-110" windowWidth="19420" windowHeight="11020" xr2:uid="{AAA42D9D-E9B7-4188-98EB-E31CA84B4B3E}"/>
  </bookViews>
  <sheets>
    <sheet name="Sheet" sheetId="6" r:id="rId1"/>
    <sheet name="項目" sheetId="3" state="hidden" r:id="rId2"/>
  </sheets>
  <definedNames>
    <definedName name="_xlnm._FilterDatabase" localSheetId="0" hidden="1">Sheet!$A$4:$M$18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6" l="1"/>
  <c r="C27" i="6"/>
  <c r="C26" i="6"/>
  <c r="B26" i="6"/>
  <c r="D25" i="6"/>
  <c r="C25" i="6"/>
  <c r="B25" i="6"/>
  <c r="G24" i="6"/>
  <c r="D24" i="6"/>
  <c r="G23" i="6"/>
  <c r="D23" i="6"/>
  <c r="G22" i="6"/>
  <c r="D22" i="6"/>
  <c r="C22" i="6"/>
  <c r="B22" i="6"/>
  <c r="C21" i="6"/>
  <c r="B21" i="6"/>
  <c r="C20" i="6"/>
  <c r="B20" i="6"/>
  <c r="L13" i="6"/>
  <c r="J13" i="6"/>
  <c r="H13" i="6"/>
  <c r="D13" i="6"/>
  <c r="C13" i="6"/>
  <c r="B13" i="6"/>
  <c r="O10" i="6"/>
  <c r="C10" i="6"/>
  <c r="B10" i="6"/>
  <c r="E9" i="6"/>
  <c r="D9" i="6"/>
  <c r="C9" i="6"/>
  <c r="B9" i="6"/>
  <c r="C8" i="6"/>
  <c r="B8" i="6"/>
  <c r="C7" i="6"/>
  <c r="B7" i="6"/>
  <c r="D6" i="6"/>
  <c r="B6" i="6"/>
  <c r="O5" i="6"/>
  <c r="H5" i="6"/>
  <c r="G5" i="6"/>
  <c r="F5" i="6"/>
  <c r="E5" i="6"/>
  <c r="D5" i="6"/>
  <c r="C5" i="6"/>
  <c r="B5" i="6"/>
  <c r="O4" i="6"/>
  <c r="D4" i="6"/>
  <c r="C4" i="6"/>
  <c r="B4" i="6"/>
  <c r="A2" i="6"/>
  <c r="AC1" i="3"/>
  <c r="AD1" i="3" s="1"/>
  <c r="AE1" i="3" s="1"/>
  <c r="AF1" i="3" s="1"/>
  <c r="AG1" i="3" s="1"/>
  <c r="AH1" i="3" s="1"/>
  <c r="AI1" i="3" s="1"/>
  <c r="AJ1" i="3" s="1"/>
  <c r="AK1" i="3" s="1"/>
  <c r="C1" i="3"/>
  <c r="D1" i="3" s="1"/>
  <c r="E1" i="3" s="1"/>
  <c r="F1" i="3" s="1"/>
  <c r="G1" i="3" s="1"/>
  <c r="H1" i="3" s="1"/>
  <c r="I1" i="3" s="1"/>
  <c r="J1" i="3" s="1"/>
  <c r="K1" i="3" s="1"/>
  <c r="L1" i="3" s="1"/>
  <c r="M1" i="3" s="1"/>
  <c r="N1" i="3" s="1"/>
  <c r="O1" i="3" s="1"/>
  <c r="P1" i="3" s="1"/>
  <c r="Q1" i="3" s="1"/>
  <c r="R1" i="3" s="1"/>
  <c r="S1" i="3" s="1"/>
  <c r="T1" i="3" s="1"/>
  <c r="U1" i="3" s="1"/>
  <c r="V1" i="3" s="1"/>
  <c r="W1" i="3" s="1"/>
  <c r="X1" i="3" s="1"/>
  <c r="Y1" i="3" s="1"/>
  <c r="Z1" i="3" s="1"/>
  <c r="AA1" i="3" s="1"/>
  <c r="AB1" i="3" s="1"/>
</calcChain>
</file>

<file path=xl/sharedStrings.xml><?xml version="1.0" encoding="utf-8"?>
<sst xmlns="http://schemas.openxmlformats.org/spreadsheetml/2006/main" count="232" uniqueCount="182">
  <si>
    <t>～</t>
    <phoneticPr fontId="1"/>
  </si>
  <si>
    <t>v</t>
    <phoneticPr fontId="1"/>
  </si>
  <si>
    <t>±</t>
    <phoneticPr fontId="1"/>
  </si>
  <si>
    <t>%</t>
    <phoneticPr fontId="1"/>
  </si>
  <si>
    <t>A</t>
    <phoneticPr fontId="1"/>
  </si>
  <si>
    <t>VA</t>
    <phoneticPr fontId="1"/>
  </si>
  <si>
    <t>KHz</t>
    <phoneticPr fontId="1"/>
  </si>
  <si>
    <t>AC or DC</t>
    <phoneticPr fontId="1"/>
  </si>
  <si>
    <t>No</t>
    <phoneticPr fontId="1"/>
  </si>
  <si>
    <t>℃</t>
    <phoneticPr fontId="1"/>
  </si>
  <si>
    <t>Rev.24b</t>
    <phoneticPr fontId="1"/>
  </si>
  <si>
    <t>Vout1</t>
    <phoneticPr fontId="1"/>
  </si>
  <si>
    <t>Vout2</t>
  </si>
  <si>
    <t>Vout3</t>
  </si>
  <si>
    <t>Vout4</t>
  </si>
  <si>
    <t>Vout5</t>
  </si>
  <si>
    <t>Duty</t>
    <phoneticPr fontId="1"/>
  </si>
  <si>
    <t>%max</t>
    <phoneticPr fontId="1"/>
  </si>
  <si>
    <t>W</t>
    <phoneticPr fontId="1"/>
  </si>
  <si>
    <t>mm</t>
    <phoneticPr fontId="1"/>
  </si>
  <si>
    <t>D</t>
    <phoneticPr fontId="1"/>
  </si>
  <si>
    <t>H</t>
    <phoneticPr fontId="1"/>
  </si>
  <si>
    <t>V</t>
    <phoneticPr fontId="1"/>
  </si>
  <si>
    <t>sec. max</t>
    <phoneticPr fontId="1"/>
  </si>
  <si>
    <t>言語</t>
    <rPh sb="0" eb="2">
      <t>ゲンゴ</t>
    </rPh>
    <phoneticPr fontId="2"/>
  </si>
  <si>
    <t>トランスご要求仕様確認シート</t>
  </si>
  <si>
    <t>Transformer Requirements Sheet</t>
  </si>
  <si>
    <t>日本語</t>
    <rPh sb="0" eb="3">
      <t>ニホンゴ</t>
    </rPh>
    <phoneticPr fontId="2"/>
  </si>
  <si>
    <t>English</t>
    <phoneticPr fontId="2"/>
  </si>
  <si>
    <t>变压器要求规格确认表</t>
  </si>
  <si>
    <t>表題</t>
    <rPh sb="0" eb="2">
      <t>ヒョウダイ</t>
    </rPh>
    <phoneticPr fontId="2"/>
  </si>
  <si>
    <t>必須</t>
    <rPh sb="0" eb="2">
      <t>ヒッス</t>
    </rPh>
    <phoneticPr fontId="2"/>
  </si>
  <si>
    <t>Required</t>
    <phoneticPr fontId="2"/>
  </si>
  <si>
    <t>必填</t>
  </si>
  <si>
    <t>区分①</t>
    <rPh sb="0" eb="2">
      <t>クブン</t>
    </rPh>
    <phoneticPr fontId="2"/>
  </si>
  <si>
    <t>区分②</t>
    <rPh sb="0" eb="2">
      <t>クブン</t>
    </rPh>
    <phoneticPr fontId="2"/>
  </si>
  <si>
    <t>任意</t>
    <rPh sb="0" eb="2">
      <t>ニンイ</t>
    </rPh>
    <phoneticPr fontId="2"/>
  </si>
  <si>
    <t>Optional</t>
    <phoneticPr fontId="2"/>
  </si>
  <si>
    <t>选填</t>
  </si>
  <si>
    <t>項目</t>
  </si>
  <si>
    <t>項目</t>
    <rPh sb="0" eb="2">
      <t>コウモク</t>
    </rPh>
    <phoneticPr fontId="2"/>
  </si>
  <si>
    <t>要求</t>
    <rPh sb="0" eb="2">
      <t>ヨウキュウ</t>
    </rPh>
    <phoneticPr fontId="2"/>
  </si>
  <si>
    <t>図面</t>
    <rPh sb="0" eb="2">
      <t>ズメン</t>
    </rPh>
    <phoneticPr fontId="2"/>
  </si>
  <si>
    <t xml:space="preserve">ご要求仕様内容 </t>
  </si>
  <si>
    <t>Specification Requirements</t>
  </si>
  <si>
    <r>
      <t>要求</t>
    </r>
    <r>
      <rPr>
        <sz val="11"/>
        <color theme="1"/>
        <rFont val="Microsoft YaHei"/>
        <family val="2"/>
      </rPr>
      <t>规格内容</t>
    </r>
  </si>
  <si>
    <t>Item</t>
    <phoneticPr fontId="2"/>
  </si>
  <si>
    <t>図面　</t>
  </si>
  <si>
    <t>Drawing</t>
  </si>
  <si>
    <t>图面</t>
  </si>
  <si>
    <t>Topology</t>
  </si>
  <si>
    <t>回路方式</t>
    <rPh sb="0" eb="2">
      <t>カイロ</t>
    </rPh>
    <rPh sb="2" eb="4">
      <t>ホウシキ</t>
    </rPh>
    <phoneticPr fontId="1"/>
  </si>
  <si>
    <t>电路拓扑</t>
  </si>
  <si>
    <t>寸法</t>
    <rPh sb="0" eb="2">
      <t>スンポウ</t>
    </rPh>
    <phoneticPr fontId="2"/>
  </si>
  <si>
    <t>外形寸法(max)</t>
  </si>
  <si>
    <t>Dimensions(max)</t>
  </si>
  <si>
    <t>外形尺寸(max)</t>
  </si>
  <si>
    <t>コア</t>
    <phoneticPr fontId="2"/>
  </si>
  <si>
    <t>フェラトコア形状</t>
  </si>
  <si>
    <t>Ferrite Core Shape</t>
  </si>
  <si>
    <t>磁芯形状</t>
  </si>
  <si>
    <t>端子</t>
    <rPh sb="0" eb="2">
      <t>タンシ</t>
    </rPh>
    <phoneticPr fontId="2"/>
  </si>
  <si>
    <t>端子タイプ</t>
  </si>
  <si>
    <t>Terminal Type</t>
  </si>
  <si>
    <t>端子类型</t>
  </si>
  <si>
    <t>入力</t>
    <rPh sb="0" eb="2">
      <t>ニュウリョク</t>
    </rPh>
    <phoneticPr fontId="2"/>
  </si>
  <si>
    <t>入力仕様</t>
  </si>
  <si>
    <t>Input Specifications</t>
  </si>
  <si>
    <t>输入规格</t>
  </si>
  <si>
    <t>出力</t>
    <rPh sb="0" eb="2">
      <t>シュツリョク</t>
    </rPh>
    <phoneticPr fontId="2"/>
  </si>
  <si>
    <t>出力仕様</t>
  </si>
  <si>
    <t>Output Specifications</t>
  </si>
  <si>
    <t>温度範囲</t>
    <rPh sb="0" eb="4">
      <t>オンドハンイ</t>
    </rPh>
    <phoneticPr fontId="2"/>
  </si>
  <si>
    <t>使用温度範囲</t>
  </si>
  <si>
    <t>Operating Temperature Range</t>
  </si>
  <si>
    <t>最高温度</t>
    <rPh sb="0" eb="4">
      <t>サイコウオンド</t>
    </rPh>
    <phoneticPr fontId="2"/>
  </si>
  <si>
    <t>トランス単体のMAX温度</t>
  </si>
  <si>
    <t>Max. Transformer Temperature</t>
  </si>
  <si>
    <t>变压器本体最高温度</t>
  </si>
  <si>
    <t>耐圧</t>
    <rPh sb="0" eb="2">
      <t>タイアツ</t>
    </rPh>
    <phoneticPr fontId="2"/>
  </si>
  <si>
    <t>耐電圧</t>
  </si>
  <si>
    <t>Dielectric Strength</t>
  </si>
  <si>
    <t>耐电压</t>
  </si>
  <si>
    <t>耐熱</t>
    <rPh sb="0" eb="2">
      <t>タイネツ</t>
    </rPh>
    <phoneticPr fontId="2"/>
  </si>
  <si>
    <t>耐熱クラス</t>
  </si>
  <si>
    <t>Thermal Class</t>
  </si>
  <si>
    <t>耐热等级</t>
  </si>
  <si>
    <t>その他</t>
    <rPh sb="2" eb="3">
      <t>タ</t>
    </rPh>
    <phoneticPr fontId="2"/>
  </si>
  <si>
    <t xml:space="preserve">その他ご要求事項 </t>
  </si>
  <si>
    <t xml:space="preserve">Other Reqirements </t>
  </si>
  <si>
    <t xml:space="preserve">設計優先事項 </t>
  </si>
  <si>
    <t>Design Priorities</t>
  </si>
  <si>
    <t>優先</t>
    <rPh sb="0" eb="2">
      <t>ユウセン</t>
    </rPh>
    <phoneticPr fontId="2"/>
  </si>
  <si>
    <t xml:space="preserve">设计优先顺序 </t>
  </si>
  <si>
    <t>外形図</t>
    <rPh sb="0" eb="3">
      <t>ガイケイズ</t>
    </rPh>
    <phoneticPr fontId="2"/>
  </si>
  <si>
    <t>巻線図</t>
  </si>
  <si>
    <t>巻線図</t>
    <rPh sb="0" eb="3">
      <t>マキセンズ</t>
    </rPh>
    <phoneticPr fontId="2"/>
  </si>
  <si>
    <t>外形図（ピン配等）</t>
  </si>
  <si>
    <t>Outline Drawing (Pin Layout, etc.)</t>
  </si>
  <si>
    <t>外形图（引脚配置等）</t>
  </si>
  <si>
    <t>Winding Diagram</t>
  </si>
  <si>
    <t>绕线图</t>
  </si>
  <si>
    <t>耐圧①</t>
    <rPh sb="0" eb="2">
      <t>タイアツ</t>
    </rPh>
    <phoneticPr fontId="2"/>
  </si>
  <si>
    <t>1次－2次</t>
  </si>
  <si>
    <t>一次－二次</t>
  </si>
  <si>
    <t>耐圧②</t>
    <rPh sb="0" eb="2">
      <t>タイアツ</t>
    </rPh>
    <phoneticPr fontId="2"/>
  </si>
  <si>
    <t>1分間</t>
  </si>
  <si>
    <t>1 minute</t>
  </si>
  <si>
    <t>1分钟</t>
  </si>
  <si>
    <t>回路方式①</t>
    <rPh sb="0" eb="2">
      <t>カイロ</t>
    </rPh>
    <rPh sb="2" eb="4">
      <t>ホウシキ</t>
    </rPh>
    <phoneticPr fontId="1"/>
  </si>
  <si>
    <t>回路方式②</t>
    <rPh sb="0" eb="2">
      <t>カイロ</t>
    </rPh>
    <rPh sb="2" eb="4">
      <t>ホウシキ</t>
    </rPh>
    <phoneticPr fontId="1"/>
  </si>
  <si>
    <t>回路方式③</t>
    <rPh sb="0" eb="2">
      <t>カイロ</t>
    </rPh>
    <rPh sb="2" eb="4">
      <t>ホウシキ</t>
    </rPh>
    <phoneticPr fontId="1"/>
  </si>
  <si>
    <t>回路方式④</t>
    <rPh sb="0" eb="2">
      <t>カイロ</t>
    </rPh>
    <rPh sb="2" eb="4">
      <t>ホウシキ</t>
    </rPh>
    <phoneticPr fontId="1"/>
  </si>
  <si>
    <t>回路方式⑤</t>
    <rPh sb="0" eb="2">
      <t>カイロ</t>
    </rPh>
    <rPh sb="2" eb="4">
      <t>ホウシキ</t>
    </rPh>
    <phoneticPr fontId="1"/>
  </si>
  <si>
    <t>回路方式⑥</t>
    <rPh sb="0" eb="2">
      <t>カイロ</t>
    </rPh>
    <rPh sb="2" eb="4">
      <t>ホウシキ</t>
    </rPh>
    <phoneticPr fontId="1"/>
  </si>
  <si>
    <t>フライバック</t>
  </si>
  <si>
    <t>Flyback</t>
  </si>
  <si>
    <t>反激式</t>
  </si>
  <si>
    <t>フォワード</t>
  </si>
  <si>
    <t>Forward</t>
  </si>
  <si>
    <t>正激式</t>
  </si>
  <si>
    <t>ハーフブリッジ</t>
  </si>
  <si>
    <t>Half-bridge</t>
  </si>
  <si>
    <t>半桥式</t>
  </si>
  <si>
    <t>フルブリッジ</t>
  </si>
  <si>
    <t>Full-bridge</t>
  </si>
  <si>
    <t>全桥式</t>
  </si>
  <si>
    <t>SW周波数</t>
  </si>
  <si>
    <t>Switch Freq.</t>
  </si>
  <si>
    <t>开关频率</t>
  </si>
  <si>
    <t>出力①</t>
    <rPh sb="0" eb="2">
      <t>シュツリョク</t>
    </rPh>
    <phoneticPr fontId="2"/>
  </si>
  <si>
    <t>出力②</t>
    <rPh sb="0" eb="2">
      <t>シュツリョク</t>
    </rPh>
    <phoneticPr fontId="2"/>
  </si>
  <si>
    <t>出力③</t>
    <rPh sb="0" eb="2">
      <t>シュツリョク</t>
    </rPh>
    <phoneticPr fontId="2"/>
  </si>
  <si>
    <t>出力④</t>
    <rPh sb="0" eb="2">
      <t>シュツリョク</t>
    </rPh>
    <phoneticPr fontId="2"/>
  </si>
  <si>
    <t>出力電圧</t>
  </si>
  <si>
    <t>Output Voltage</t>
  </si>
  <si>
    <t>出力電流</t>
  </si>
  <si>
    <t>Output Current</t>
  </si>
  <si>
    <t>最大出力電流</t>
  </si>
  <si>
    <t>Max. Output Current</t>
  </si>
  <si>
    <t>出力電力</t>
  </si>
  <si>
    <t>Output Power</t>
  </si>
  <si>
    <t>输出电压</t>
  </si>
  <si>
    <t>输出电流</t>
  </si>
  <si>
    <t>最大输出电流</t>
  </si>
  <si>
    <t>输出功率</t>
  </si>
  <si>
    <t>区分</t>
    <rPh sb="0" eb="2">
      <t>クブン</t>
    </rPh>
    <phoneticPr fontId="2"/>
  </si>
  <si>
    <t>必須区分</t>
  </si>
  <si>
    <t>Requirement</t>
  </si>
  <si>
    <t>必填区分</t>
  </si>
  <si>
    <t xml:space="preserve">要求事项 </t>
    <phoneticPr fontId="2"/>
  </si>
  <si>
    <t>耐熱①</t>
    <rPh sb="0" eb="2">
      <t>タイネツ</t>
    </rPh>
    <phoneticPr fontId="2"/>
  </si>
  <si>
    <t>耐圧③</t>
    <rPh sb="0" eb="2">
      <t>タイアツ</t>
    </rPh>
    <phoneticPr fontId="2"/>
  </si>
  <si>
    <t>耐圧④</t>
    <rPh sb="0" eb="2">
      <t>タイアツ</t>
    </rPh>
    <phoneticPr fontId="2"/>
  </si>
  <si>
    <t>1次－コア</t>
    <phoneticPr fontId="2"/>
  </si>
  <si>
    <t>2次－コア</t>
    <phoneticPr fontId="2"/>
  </si>
  <si>
    <t>一次－磁芯</t>
    <phoneticPr fontId="2"/>
  </si>
  <si>
    <t>二次－磁芯</t>
    <phoneticPr fontId="2"/>
  </si>
  <si>
    <t>中文</t>
    <phoneticPr fontId="2"/>
  </si>
  <si>
    <t>端子①</t>
    <rPh sb="0" eb="2">
      <t>タンシ</t>
    </rPh>
    <phoneticPr fontId="2"/>
  </si>
  <si>
    <t>端子②</t>
    <rPh sb="0" eb="2">
      <t>タンシ</t>
    </rPh>
    <phoneticPr fontId="2"/>
  </si>
  <si>
    <t>SMD Terminal</t>
    <phoneticPr fontId="2"/>
  </si>
  <si>
    <t>SMD端子</t>
    <rPh sb="3" eb="5">
      <t>タンシ</t>
    </rPh>
    <phoneticPr fontId="2"/>
  </si>
  <si>
    <t>SMD端子</t>
    <phoneticPr fontId="2"/>
  </si>
  <si>
    <t>Through-hole Pins</t>
    <phoneticPr fontId="2"/>
  </si>
  <si>
    <t>通孔插脚</t>
  </si>
  <si>
    <t>TH（Pin）</t>
    <phoneticPr fontId="2"/>
  </si>
  <si>
    <r>
      <t>←</t>
    </r>
    <r>
      <rPr>
        <b/>
        <sz val="12"/>
        <color theme="1"/>
        <rFont val="ＭＳ Ｐゴシック"/>
        <family val="3"/>
        <charset val="128"/>
      </rPr>
      <t xml:space="preserve"> </t>
    </r>
    <r>
      <rPr>
        <b/>
        <sz val="12"/>
        <color theme="1"/>
        <rFont val="NSimSun"/>
        <family val="3"/>
        <charset val="134"/>
      </rPr>
      <t>Language</t>
    </r>
    <phoneticPr fontId="2"/>
  </si>
  <si>
    <t>□A、□B、□E、□その他</t>
    <phoneticPr fontId="2"/>
  </si>
  <si>
    <t>□A、□B、□E、□Others</t>
    <phoneticPr fontId="2"/>
  </si>
  <si>
    <t>□A、□B、□E、□其他</t>
    <phoneticPr fontId="2"/>
  </si>
  <si>
    <t>その他</t>
    <phoneticPr fontId="2"/>
  </si>
  <si>
    <t>Other</t>
    <phoneticPr fontId="2"/>
  </si>
  <si>
    <t>其他</t>
    <phoneticPr fontId="2"/>
  </si>
  <si>
    <t>記入</t>
    <rPh sb="0" eb="2">
      <t>キニュウ</t>
    </rPh>
    <phoneticPr fontId="2"/>
  </si>
  <si>
    <t>Please fill in this field.</t>
    <phoneticPr fontId="2"/>
  </si>
  <si>
    <t>请在此框内填写。</t>
  </si>
  <si>
    <t>この枠内に記入をお願いいたします。</t>
    <rPh sb="2" eb="4">
      <t>ワクナイ</t>
    </rPh>
    <rPh sb="5" eb="7">
      <t>キニュウ</t>
    </rPh>
    <rPh sb="9" eb="10">
      <t>ネガ</t>
    </rPh>
    <phoneticPr fontId="2"/>
  </si>
  <si>
    <t>English</t>
  </si>
  <si>
    <t>Pre. - Sec.</t>
    <phoneticPr fontId="2"/>
  </si>
  <si>
    <t>Pre. - Core</t>
    <phoneticPr fontId="2"/>
  </si>
  <si>
    <t>Sec. - Core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</si>
</sst>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Microsoft YaHei"/>
      <family val="2"/>
      <charset val="134"/>
    </font>
    <font>
      <sz val="11"/>
      <color theme="1"/>
      <name val="Microsoft YaHei"/>
      <family val="2"/>
    </font>
    <font>
      <b/>
      <sz val="14"/>
      <color theme="1"/>
      <name val="NSimSun"/>
      <family val="3"/>
      <charset val="134"/>
    </font>
    <font>
      <sz val="11"/>
      <color theme="1"/>
      <name val="NSimSun"/>
      <family val="3"/>
      <charset val="134"/>
    </font>
    <font>
      <b/>
      <sz val="11"/>
      <color theme="1"/>
      <name val="NSimSun"/>
      <family val="3"/>
      <charset val="134"/>
    </font>
    <font>
      <sz val="10"/>
      <color theme="1"/>
      <name val="NSimSun"/>
      <family val="3"/>
      <charset val="134"/>
    </font>
    <font>
      <sz val="11"/>
      <name val="NSimSun"/>
      <family val="3"/>
      <charset val="134"/>
    </font>
    <font>
      <sz val="9"/>
      <color indexed="8"/>
      <name val="NSimSun"/>
      <family val="3"/>
      <charset val="134"/>
    </font>
    <font>
      <sz val="9"/>
      <color theme="1"/>
      <name val="NSimSun"/>
      <family val="3"/>
      <charset val="134"/>
    </font>
    <font>
      <b/>
      <sz val="12"/>
      <color theme="1"/>
      <name val="NSimSun"/>
      <family val="3"/>
      <charset val="134"/>
    </font>
    <font>
      <b/>
      <sz val="12"/>
      <color theme="1"/>
      <name val="NSimSun"/>
      <family val="3"/>
    </font>
    <font>
      <b/>
      <sz val="12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4" borderId="28" xfId="0" applyFont="1" applyFill="1" applyBorder="1">
      <alignment vertical="center"/>
    </xf>
    <xf numFmtId="0" fontId="6" fillId="2" borderId="15" xfId="0" applyFont="1" applyFill="1" applyBorder="1" applyAlignment="1">
      <alignment horizontal="center" vertical="center"/>
    </xf>
    <xf numFmtId="0" fontId="6" fillId="0" borderId="34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6" fillId="2" borderId="2" xfId="0" applyFont="1" applyFill="1" applyBorder="1">
      <alignment vertical="center"/>
    </xf>
    <xf numFmtId="0" fontId="6" fillId="2" borderId="16" xfId="0" applyFont="1" applyFill="1" applyBorder="1">
      <alignment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>
      <alignment vertical="center"/>
    </xf>
    <xf numFmtId="0" fontId="9" fillId="0" borderId="18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4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3" xfId="0" applyFont="1" applyFill="1" applyBorder="1">
      <alignment vertical="center"/>
    </xf>
    <xf numFmtId="0" fontId="6" fillId="2" borderId="10" xfId="0" applyFont="1" applyFill="1" applyBorder="1">
      <alignment vertical="center"/>
    </xf>
    <xf numFmtId="0" fontId="6" fillId="2" borderId="1" xfId="0" applyFont="1" applyFill="1" applyBorder="1" applyAlignment="1">
      <alignment horizontal="right" vertical="center"/>
    </xf>
    <xf numFmtId="0" fontId="6" fillId="3" borderId="18" xfId="0" applyFont="1" applyFill="1" applyBorder="1">
      <alignment vertical="center"/>
    </xf>
    <xf numFmtId="0" fontId="6" fillId="2" borderId="11" xfId="0" applyFont="1" applyFill="1" applyBorder="1">
      <alignment vertical="center"/>
    </xf>
    <xf numFmtId="0" fontId="6" fillId="2" borderId="12" xfId="0" applyFont="1" applyFill="1" applyBorder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>
      <alignment vertical="center"/>
    </xf>
    <xf numFmtId="0" fontId="9" fillId="0" borderId="32" xfId="0" applyFont="1" applyBorder="1" applyAlignment="1">
      <alignment vertical="center" wrapText="1"/>
    </xf>
    <xf numFmtId="0" fontId="6" fillId="2" borderId="21" xfId="0" applyFont="1" applyFill="1" applyBorder="1">
      <alignment vertical="center"/>
    </xf>
    <xf numFmtId="0" fontId="6" fillId="2" borderId="22" xfId="0" applyFont="1" applyFill="1" applyBorder="1">
      <alignment vertical="center"/>
    </xf>
    <xf numFmtId="0" fontId="6" fillId="2" borderId="23" xfId="0" applyFont="1" applyFill="1" applyBorder="1">
      <alignment vertical="center"/>
    </xf>
    <xf numFmtId="0" fontId="12" fillId="0" borderId="0" xfId="0" applyFont="1">
      <alignment vertical="center"/>
    </xf>
    <xf numFmtId="0" fontId="6" fillId="3" borderId="0" xfId="0" applyFont="1" applyFill="1" applyProtection="1">
      <alignment vertical="center"/>
      <protection locked="0"/>
    </xf>
    <xf numFmtId="0" fontId="6" fillId="2" borderId="0" xfId="0" applyFont="1" applyFill="1" applyProtection="1">
      <alignment vertical="center"/>
      <protection locked="0"/>
    </xf>
    <xf numFmtId="0" fontId="6" fillId="2" borderId="3" xfId="0" applyFont="1" applyFill="1" applyBorder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3" borderId="18" xfId="0" applyFont="1" applyFill="1" applyBorder="1" applyAlignment="1" applyProtection="1">
      <alignment horizontal="right" vertical="center"/>
      <protection locked="0"/>
    </xf>
    <xf numFmtId="0" fontId="6" fillId="3" borderId="18" xfId="0" applyFont="1" applyFill="1" applyBorder="1" applyProtection="1">
      <alignment vertical="center"/>
      <protection locked="0"/>
    </xf>
    <xf numFmtId="0" fontId="6" fillId="2" borderId="18" xfId="0" applyFont="1" applyFill="1" applyBorder="1" applyProtection="1">
      <alignment vertical="center"/>
      <protection locked="0"/>
    </xf>
    <xf numFmtId="0" fontId="6" fillId="2" borderId="5" xfId="0" applyFont="1" applyFill="1" applyBorder="1" applyProtection="1">
      <alignment vertical="center"/>
      <protection locked="0"/>
    </xf>
    <xf numFmtId="0" fontId="6" fillId="2" borderId="6" xfId="0" applyFont="1" applyFill="1" applyBorder="1" applyProtection="1">
      <alignment vertical="center"/>
      <protection locked="0"/>
    </xf>
    <xf numFmtId="0" fontId="6" fillId="3" borderId="13" xfId="0" applyFont="1" applyFill="1" applyBorder="1" applyAlignment="1" applyProtection="1">
      <alignment horizontal="right"/>
      <protection locked="0"/>
    </xf>
    <xf numFmtId="0" fontId="6" fillId="3" borderId="18" xfId="0" applyFont="1" applyFill="1" applyBorder="1" applyAlignment="1" applyProtection="1">
      <alignment horizontal="right"/>
      <protection locked="0"/>
    </xf>
    <xf numFmtId="0" fontId="6" fillId="3" borderId="14" xfId="0" applyFont="1" applyFill="1" applyBorder="1" applyAlignment="1" applyProtection="1">
      <alignment horizontal="right"/>
      <protection locked="0"/>
    </xf>
    <xf numFmtId="0" fontId="6" fillId="3" borderId="18" xfId="0" applyFont="1" applyFill="1" applyBorder="1" applyAlignment="1" applyProtection="1">
      <alignment horizontal="left" vertical="center"/>
      <protection locked="0"/>
    </xf>
    <xf numFmtId="0" fontId="6" fillId="3" borderId="4" xfId="0" applyFont="1" applyFill="1" applyBorder="1" applyProtection="1">
      <alignment vertical="center"/>
      <protection locked="0"/>
    </xf>
    <xf numFmtId="0" fontId="6" fillId="3" borderId="5" xfId="0" applyFont="1" applyFill="1" applyBorder="1" applyProtection="1">
      <alignment vertical="center"/>
      <protection locked="0"/>
    </xf>
    <xf numFmtId="0" fontId="6" fillId="3" borderId="6" xfId="0" applyFont="1" applyFill="1" applyBorder="1" applyProtection="1">
      <alignment vertical="center"/>
      <protection locked="0"/>
    </xf>
    <xf numFmtId="0" fontId="6" fillId="3" borderId="7" xfId="0" applyFont="1" applyFill="1" applyBorder="1" applyProtection="1">
      <alignment vertical="center"/>
      <protection locked="0"/>
    </xf>
    <xf numFmtId="0" fontId="6" fillId="3" borderId="8" xfId="0" applyFont="1" applyFill="1" applyBorder="1" applyProtection="1">
      <alignment vertical="center"/>
      <protection locked="0"/>
    </xf>
    <xf numFmtId="0" fontId="6" fillId="3" borderId="9" xfId="0" applyFont="1" applyFill="1" applyBorder="1" applyProtection="1">
      <alignment vertical="center"/>
      <protection locked="0"/>
    </xf>
    <xf numFmtId="0" fontId="6" fillId="3" borderId="2" xfId="0" applyFont="1" applyFill="1" applyBorder="1" applyProtection="1">
      <alignment vertical="center"/>
      <protection locked="0"/>
    </xf>
    <xf numFmtId="0" fontId="6" fillId="3" borderId="3" xfId="0" applyFont="1" applyFill="1" applyBorder="1" applyProtection="1">
      <alignment vertical="center"/>
      <protection locked="0"/>
    </xf>
    <xf numFmtId="0" fontId="6" fillId="3" borderId="10" xfId="0" applyFont="1" applyFill="1" applyBorder="1" applyProtection="1">
      <alignment vertical="center"/>
      <protection locked="0"/>
    </xf>
    <xf numFmtId="0" fontId="6" fillId="3" borderId="11" xfId="0" applyFont="1" applyFill="1" applyBorder="1" applyProtection="1">
      <alignment vertical="center"/>
      <protection locked="0"/>
    </xf>
    <xf numFmtId="0" fontId="6" fillId="3" borderId="12" xfId="0" applyFont="1" applyFill="1" applyBorder="1" applyProtection="1">
      <alignment vertical="center"/>
      <protection locked="0"/>
    </xf>
    <xf numFmtId="0" fontId="8" fillId="2" borderId="11" xfId="0" applyFont="1" applyFill="1" applyBorder="1" applyAlignment="1">
      <alignment vertical="center" wrapText="1"/>
    </xf>
    <xf numFmtId="0" fontId="6" fillId="3" borderId="18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right" vertical="center"/>
    </xf>
    <xf numFmtId="0" fontId="6" fillId="2" borderId="2" xfId="0" applyFont="1" applyFill="1" applyBorder="1" applyProtection="1">
      <alignment vertical="center"/>
      <protection locked="0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7" fillId="5" borderId="24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 wrapText="1"/>
    </xf>
    <xf numFmtId="0" fontId="6" fillId="5" borderId="26" xfId="0" applyFont="1" applyFill="1" applyBorder="1">
      <alignment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6" fillId="3" borderId="7" xfId="0" applyFont="1" applyFill="1" applyBorder="1" applyProtection="1">
      <alignment vertical="center"/>
      <protection locked="0"/>
    </xf>
    <xf numFmtId="0" fontId="6" fillId="3" borderId="8" xfId="0" applyFont="1" applyFill="1" applyBorder="1" applyProtection="1">
      <alignment vertical="center"/>
      <protection locked="0"/>
    </xf>
    <xf numFmtId="0" fontId="6" fillId="3" borderId="9" xfId="0" applyFont="1" applyFill="1" applyBorder="1" applyProtection="1">
      <alignment vertical="center"/>
      <protection locked="0"/>
    </xf>
    <xf numFmtId="0" fontId="6" fillId="3" borderId="21" xfId="0" applyFont="1" applyFill="1" applyBorder="1" applyProtection="1">
      <alignment vertical="center"/>
      <protection locked="0"/>
    </xf>
    <xf numFmtId="0" fontId="6" fillId="3" borderId="22" xfId="0" applyFont="1" applyFill="1" applyBorder="1" applyProtection="1">
      <alignment vertical="center"/>
      <protection locked="0"/>
    </xf>
    <xf numFmtId="0" fontId="6" fillId="3" borderId="29" xfId="0" applyFont="1" applyFill="1" applyBorder="1" applyProtection="1">
      <alignment vertical="center"/>
      <protection locked="0"/>
    </xf>
    <xf numFmtId="0" fontId="6" fillId="3" borderId="4" xfId="0" applyFont="1" applyFill="1" applyBorder="1" applyProtection="1">
      <alignment vertical="center"/>
      <protection locked="0"/>
    </xf>
    <xf numFmtId="0" fontId="6" fillId="3" borderId="5" xfId="0" applyFont="1" applyFill="1" applyBorder="1" applyProtection="1">
      <alignment vertical="center"/>
      <protection locked="0"/>
    </xf>
    <xf numFmtId="0" fontId="6" fillId="3" borderId="6" xfId="0" applyFont="1" applyFill="1" applyBorder="1" applyProtection="1">
      <alignment vertical="center"/>
      <protection locked="0"/>
    </xf>
    <xf numFmtId="0" fontId="6" fillId="2" borderId="5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/>
    </xf>
    <xf numFmtId="0" fontId="9" fillId="0" borderId="11" xfId="0" applyFont="1" applyBorder="1" applyAlignment="1">
      <alignment vertical="center" wrapText="1"/>
    </xf>
    <xf numFmtId="0" fontId="9" fillId="0" borderId="11" xfId="0" applyFont="1" applyBorder="1">
      <alignment vertical="center"/>
    </xf>
    <xf numFmtId="0" fontId="6" fillId="2" borderId="30" xfId="0" applyFont="1" applyFill="1" applyBorder="1">
      <alignment vertical="center"/>
    </xf>
    <xf numFmtId="0" fontId="6" fillId="0" borderId="31" xfId="0" applyFont="1" applyBorder="1">
      <alignment vertical="center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12" fillId="5" borderId="4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4F0C7-5892-4426-B72B-5EB9344C0F2B}">
  <sheetPr>
    <pageSetUpPr fitToPage="1"/>
  </sheetPr>
  <dimension ref="A1:S27"/>
  <sheetViews>
    <sheetView tabSelected="1" zoomScale="90" zoomScaleNormal="90" workbookViewId="0">
      <pane ySplit="4" topLeftCell="A20" activePane="bottomLeft" state="frozen"/>
      <selection activeCell="G1" sqref="G1"/>
      <selection pane="bottomLeft" activeCell="D2" sqref="D2:E2"/>
    </sheetView>
  </sheetViews>
  <sheetFormatPr defaultColWidth="8.6640625" defaultRowHeight="14" x14ac:dyDescent="0.55000000000000004"/>
  <cols>
    <col min="1" max="1" width="4.1640625" style="7" customWidth="1"/>
    <col min="2" max="2" width="12.1640625" style="7" customWidth="1"/>
    <col min="3" max="3" width="23.9140625" style="5" customWidth="1"/>
    <col min="4" max="5" width="11.1640625" style="5" customWidth="1"/>
    <col min="6" max="6" width="12.83203125" style="5" customWidth="1"/>
    <col min="7" max="7" width="11.1640625" style="5" customWidth="1"/>
    <col min="8" max="8" width="12.4140625" style="5" customWidth="1"/>
    <col min="9" max="13" width="11.1640625" style="5" customWidth="1"/>
    <col min="14" max="14" width="1.83203125" style="5" customWidth="1"/>
    <col min="15" max="18" width="8.6640625" style="5"/>
    <col min="19" max="19" width="1.5" style="5" customWidth="1"/>
    <col min="20" max="16384" width="8.6640625" style="5"/>
  </cols>
  <sheetData>
    <row r="1" spans="1:19" ht="7" customHeight="1" x14ac:dyDescent="0.55000000000000004"/>
    <row r="2" spans="1:19" ht="33.65" customHeight="1" x14ac:dyDescent="0.55000000000000004">
      <c r="A2" s="107" t="str">
        <f>VLOOKUP($D$2,項目!$A:$AZ,2,FALSE)</f>
        <v>Transformer Requirements Sheet</v>
      </c>
      <c r="B2" s="107"/>
      <c r="C2" s="107"/>
      <c r="D2" s="119" t="s">
        <v>178</v>
      </c>
      <c r="E2" s="120"/>
      <c r="F2" s="51" t="s">
        <v>167</v>
      </c>
      <c r="G2" s="4"/>
      <c r="H2" s="38"/>
      <c r="I2" s="51" t="str">
        <f>VLOOKUP($D$2,項目!$A:$AZ,40,FALSE)</f>
        <v>Please fill in this field.</v>
      </c>
      <c r="S2" s="6" t="s">
        <v>10</v>
      </c>
    </row>
    <row r="3" spans="1:19" ht="9" customHeight="1" thickBot="1" x14ac:dyDescent="0.6"/>
    <row r="4" spans="1:19" ht="33.65" customHeight="1" thickBot="1" x14ac:dyDescent="0.6">
      <c r="A4" s="83" t="s">
        <v>8</v>
      </c>
      <c r="B4" s="84" t="str">
        <f>VLOOKUP($D$2,項目!$A:$AZ,3,FALSE)</f>
        <v>Requirement</v>
      </c>
      <c r="C4" s="84" t="str">
        <f>VLOOKUP($D$2,項目!$A:$AZ,6,FALSE)</f>
        <v>Item</v>
      </c>
      <c r="D4" s="108" t="str">
        <f>VLOOKUP($D$2,項目!$A:$AZ,7,FALSE)</f>
        <v>Specification Requirements</v>
      </c>
      <c r="E4" s="109"/>
      <c r="F4" s="109"/>
      <c r="G4" s="109"/>
      <c r="H4" s="109"/>
      <c r="I4" s="109"/>
      <c r="J4" s="109"/>
      <c r="K4" s="109"/>
      <c r="L4" s="109"/>
      <c r="M4" s="110"/>
      <c r="N4" s="85"/>
      <c r="O4" s="111" t="str">
        <f>VLOOKUP($D$2,項目!$A:$AZ,8,FALSE)</f>
        <v>Drawing</v>
      </c>
      <c r="P4" s="111"/>
      <c r="Q4" s="111"/>
      <c r="R4" s="111"/>
      <c r="S4" s="8"/>
    </row>
    <row r="5" spans="1:19" ht="33.65" customHeight="1" x14ac:dyDescent="0.55000000000000004">
      <c r="A5" s="9">
        <v>1</v>
      </c>
      <c r="B5" s="10" t="str">
        <f>VLOOKUP($D$2,項目!$A:$AZ,4,FALSE)</f>
        <v>Required</v>
      </c>
      <c r="C5" s="112" t="str">
        <f>VLOOKUP($D$2,項目!$A:$AZ,9,FALSE)</f>
        <v>Topology</v>
      </c>
      <c r="D5" s="11" t="str">
        <f>VLOOKUP($D$2,項目!$A:$AZ,10,FALSE)</f>
        <v>Flyback</v>
      </c>
      <c r="E5" s="12" t="str">
        <f>VLOOKUP($D$2,項目!$A:$AZ,11,FALSE)</f>
        <v>Forward</v>
      </c>
      <c r="F5" s="12" t="str">
        <f>VLOOKUP($D$2,項目!$A:$AZ,12,FALSE)</f>
        <v>Half-bridge</v>
      </c>
      <c r="G5" s="12" t="str">
        <f>VLOOKUP($D$2,項目!$A:$AZ,13,FALSE)</f>
        <v>Full-bridge</v>
      </c>
      <c r="H5" s="76" t="str">
        <f>VLOOKUP($D$2,項目!$A:$AZ,14,FALSE)</f>
        <v>Other</v>
      </c>
      <c r="I5" s="118"/>
      <c r="J5" s="118"/>
      <c r="K5" s="118"/>
      <c r="L5" s="118"/>
      <c r="M5" s="118"/>
      <c r="N5" s="13"/>
      <c r="O5" s="114" t="str">
        <f>VLOOKUP($D$2,項目!$A:$AZ,36,FALSE)</f>
        <v>Outline Drawing (Pin Layout, etc.)</v>
      </c>
      <c r="P5" s="115"/>
      <c r="Q5" s="115"/>
      <c r="R5" s="115"/>
      <c r="S5" s="14"/>
    </row>
    <row r="6" spans="1:19" ht="33.65" customHeight="1" x14ac:dyDescent="0.55000000000000004">
      <c r="A6" s="15">
        <v>2</v>
      </c>
      <c r="B6" s="16" t="str">
        <f>VLOOKUP($D$2,項目!$A:$AZ,4,FALSE)</f>
        <v>Required</v>
      </c>
      <c r="C6" s="113"/>
      <c r="D6" s="17" t="str">
        <f>VLOOKUP($D$2,項目!$A:$AZ,15,FALSE)</f>
        <v>Switch Freq.</v>
      </c>
      <c r="E6" s="77"/>
      <c r="F6" s="18" t="s">
        <v>6</v>
      </c>
      <c r="G6" s="19" t="s">
        <v>16</v>
      </c>
      <c r="H6" s="77"/>
      <c r="I6" s="18" t="s">
        <v>17</v>
      </c>
      <c r="J6" s="77"/>
      <c r="K6" s="18" t="s">
        <v>23</v>
      </c>
      <c r="L6" s="116"/>
      <c r="M6" s="117"/>
      <c r="N6" s="13"/>
      <c r="O6" s="68"/>
      <c r="P6" s="69"/>
      <c r="Q6" s="69"/>
      <c r="R6" s="70"/>
      <c r="S6" s="14"/>
    </row>
    <row r="7" spans="1:19" ht="33.65" customHeight="1" x14ac:dyDescent="0.55000000000000004">
      <c r="A7" s="9">
        <v>3</v>
      </c>
      <c r="B7" s="20" t="str">
        <f>VLOOKUP($D$2,項目!$A:$AZ,4,FALSE)</f>
        <v>Required</v>
      </c>
      <c r="C7" s="21" t="str">
        <f>VLOOKUP($D$2,項目!$A:$AZ,16,FALSE)</f>
        <v>Dimensions(max)</v>
      </c>
      <c r="D7" s="78" t="s">
        <v>18</v>
      </c>
      <c r="E7" s="57"/>
      <c r="F7" s="6" t="s">
        <v>20</v>
      </c>
      <c r="G7" s="64"/>
      <c r="H7" s="6" t="s">
        <v>21</v>
      </c>
      <c r="I7" s="57"/>
      <c r="J7" s="5" t="s">
        <v>19</v>
      </c>
      <c r="K7" s="53"/>
      <c r="L7" s="53"/>
      <c r="M7" s="54"/>
      <c r="N7" s="13"/>
      <c r="O7" s="71"/>
      <c r="P7" s="52"/>
      <c r="Q7" s="52"/>
      <c r="R7" s="72"/>
      <c r="S7" s="14"/>
    </row>
    <row r="8" spans="1:19" ht="33.65" customHeight="1" x14ac:dyDescent="0.55000000000000004">
      <c r="A8" s="15">
        <v>4</v>
      </c>
      <c r="B8" s="23" t="str">
        <f>VLOOKUP($D$2,項目!$A:$AZ,5,FALSE)</f>
        <v>Optional</v>
      </c>
      <c r="C8" s="24" t="str">
        <f>VLOOKUP($D$2,項目!$A:$AZ,17,FALSE)</f>
        <v>Ferrite Core Shape</v>
      </c>
      <c r="D8" s="96"/>
      <c r="E8" s="97"/>
      <c r="F8" s="97"/>
      <c r="G8" s="97"/>
      <c r="H8" s="97"/>
      <c r="I8" s="97"/>
      <c r="J8" s="97"/>
      <c r="K8" s="97"/>
      <c r="L8" s="97"/>
      <c r="M8" s="98"/>
      <c r="N8" s="13"/>
      <c r="O8" s="71"/>
      <c r="P8" s="52"/>
      <c r="Q8" s="52"/>
      <c r="R8" s="72"/>
      <c r="S8" s="14"/>
    </row>
    <row r="9" spans="1:19" ht="33.65" customHeight="1" x14ac:dyDescent="0.55000000000000004">
      <c r="A9" s="15">
        <v>5</v>
      </c>
      <c r="B9" s="27" t="str">
        <f>VLOOKUP($D$2,項目!$A:$AZ,4,FALSE)</f>
        <v>Required</v>
      </c>
      <c r="C9" s="24" t="str">
        <f>VLOOKUP($D$2,項目!$A:$AZ,18,FALSE)</f>
        <v>Terminal Type</v>
      </c>
      <c r="D9" s="28" t="str">
        <f>VLOOKUP($D$2,項目!$A:$AZ,38,FALSE)</f>
        <v>SMD Terminal</v>
      </c>
      <c r="E9" s="29" t="str">
        <f>VLOOKUP($D$2,項目!$A:$AZ,39,FALSE)</f>
        <v>Through-hole Pins</v>
      </c>
      <c r="F9" s="65"/>
      <c r="G9" s="66"/>
      <c r="H9" s="66"/>
      <c r="I9" s="66"/>
      <c r="J9" s="66"/>
      <c r="K9" s="66"/>
      <c r="L9" s="66"/>
      <c r="M9" s="67"/>
      <c r="N9" s="13"/>
      <c r="O9" s="73"/>
      <c r="P9" s="74"/>
      <c r="Q9" s="74"/>
      <c r="R9" s="75"/>
      <c r="S9" s="14"/>
    </row>
    <row r="10" spans="1:19" ht="33.65" customHeight="1" x14ac:dyDescent="0.55000000000000004">
      <c r="A10" s="9">
        <v>6</v>
      </c>
      <c r="B10" s="20" t="str">
        <f>VLOOKUP($D$2,項目!$A:$AZ,4,FALSE)</f>
        <v>Required</v>
      </c>
      <c r="C10" s="30" t="str">
        <f>VLOOKUP($D$2,項目!$A:$AZ,19,FALSE)</f>
        <v>Input Specifications</v>
      </c>
      <c r="D10" s="79" t="s">
        <v>7</v>
      </c>
      <c r="E10" s="56" t="s">
        <v>22</v>
      </c>
      <c r="F10" s="55" t="s">
        <v>0</v>
      </c>
      <c r="G10" s="56" t="s">
        <v>22</v>
      </c>
      <c r="H10" s="56" t="s">
        <v>4</v>
      </c>
      <c r="I10" s="53"/>
      <c r="J10" s="53"/>
      <c r="K10" s="53"/>
      <c r="L10" s="53"/>
      <c r="M10" s="54"/>
      <c r="N10" s="13"/>
      <c r="O10" s="99" t="str">
        <f>VLOOKUP($D$2,項目!$A:$AZ,37,FALSE)</f>
        <v>Winding Diagram</v>
      </c>
      <c r="P10" s="99"/>
      <c r="Q10" s="99"/>
      <c r="R10" s="99"/>
      <c r="S10" s="14"/>
    </row>
    <row r="11" spans="1:19" ht="33.65" customHeight="1" x14ac:dyDescent="0.55000000000000004">
      <c r="A11" s="9"/>
      <c r="B11" s="31"/>
      <c r="C11" s="32"/>
      <c r="D11" s="79" t="s">
        <v>7</v>
      </c>
      <c r="E11" s="56" t="s">
        <v>22</v>
      </c>
      <c r="F11" s="55" t="s">
        <v>0</v>
      </c>
      <c r="G11" s="56" t="s">
        <v>22</v>
      </c>
      <c r="H11" s="56" t="s">
        <v>4</v>
      </c>
      <c r="I11" s="53"/>
      <c r="J11" s="53"/>
      <c r="K11" s="53"/>
      <c r="L11" s="53"/>
      <c r="M11" s="54"/>
      <c r="N11" s="13"/>
      <c r="O11" s="68"/>
      <c r="P11" s="69"/>
      <c r="Q11" s="69"/>
      <c r="R11" s="70"/>
      <c r="S11" s="14"/>
    </row>
    <row r="12" spans="1:19" ht="33.65" customHeight="1" x14ac:dyDescent="0.55000000000000004">
      <c r="A12" s="33"/>
      <c r="B12" s="34"/>
      <c r="C12" s="35"/>
      <c r="D12" s="36"/>
      <c r="E12" s="53"/>
      <c r="F12" s="53"/>
      <c r="G12" s="53"/>
      <c r="H12" s="53"/>
      <c r="I12" s="53"/>
      <c r="J12" s="53"/>
      <c r="K12" s="53"/>
      <c r="L12" s="53"/>
      <c r="M12" s="54"/>
      <c r="N12" s="13"/>
      <c r="O12" s="71"/>
      <c r="P12" s="52"/>
      <c r="Q12" s="52"/>
      <c r="R12" s="72"/>
      <c r="S12" s="14"/>
    </row>
    <row r="13" spans="1:19" ht="33.65" customHeight="1" x14ac:dyDescent="0.55000000000000004">
      <c r="A13" s="9">
        <v>7</v>
      </c>
      <c r="B13" s="20" t="str">
        <f>VLOOKUP($D$2,項目!$A:$AZ,4,FALSE)</f>
        <v>Required</v>
      </c>
      <c r="C13" s="21" t="str">
        <f>VLOOKUP($D$2,項目!$A:$AZ,20,FALSE)</f>
        <v>Output Specifications</v>
      </c>
      <c r="D13" s="100" t="str">
        <f>VLOOKUP($D$2,項目!$A:$AZ,21,FALSE)</f>
        <v>Output Voltage</v>
      </c>
      <c r="E13" s="101"/>
      <c r="F13" s="101"/>
      <c r="G13" s="102"/>
      <c r="H13" s="103" t="str">
        <f>VLOOKUP($D$2,項目!$A:$AZ,22,FALSE)</f>
        <v>Output Current</v>
      </c>
      <c r="I13" s="104"/>
      <c r="J13" s="105" t="str">
        <f>VLOOKUP($D$2,項目!$A:$AZ,23,FALSE)</f>
        <v>Max. Output Current</v>
      </c>
      <c r="K13" s="106"/>
      <c r="L13" s="103" t="str">
        <f>VLOOKUP($D$2,項目!$A:$AZ,24,FALSE)</f>
        <v>Output Power</v>
      </c>
      <c r="M13" s="104"/>
      <c r="N13" s="13"/>
      <c r="O13" s="71"/>
      <c r="P13" s="52"/>
      <c r="Q13" s="52"/>
      <c r="R13" s="72"/>
      <c r="S13" s="14"/>
    </row>
    <row r="14" spans="1:19" ht="33.65" customHeight="1" x14ac:dyDescent="0.55000000000000004">
      <c r="A14" s="9"/>
      <c r="B14" s="31"/>
      <c r="C14" s="37" t="s">
        <v>11</v>
      </c>
      <c r="D14" s="80" t="s">
        <v>7</v>
      </c>
      <c r="E14" s="56" t="s">
        <v>22</v>
      </c>
      <c r="F14" s="57" t="s">
        <v>2</v>
      </c>
      <c r="G14" s="58" t="s">
        <v>3</v>
      </c>
      <c r="H14" s="57"/>
      <c r="I14" s="58" t="s">
        <v>4</v>
      </c>
      <c r="J14" s="57"/>
      <c r="K14" s="58" t="s">
        <v>4</v>
      </c>
      <c r="L14" s="57"/>
      <c r="M14" s="58" t="s">
        <v>5</v>
      </c>
      <c r="N14" s="13"/>
      <c r="O14" s="71"/>
      <c r="P14" s="52"/>
      <c r="Q14" s="52"/>
      <c r="R14" s="72"/>
      <c r="S14" s="14"/>
    </row>
    <row r="15" spans="1:19" ht="33.65" customHeight="1" x14ac:dyDescent="0.55000000000000004">
      <c r="A15" s="9"/>
      <c r="B15" s="31"/>
      <c r="C15" s="37" t="s">
        <v>12</v>
      </c>
      <c r="D15" s="80" t="s">
        <v>7</v>
      </c>
      <c r="E15" s="56" t="s">
        <v>22</v>
      </c>
      <c r="F15" s="57" t="s">
        <v>2</v>
      </c>
      <c r="G15" s="58" t="s">
        <v>3</v>
      </c>
      <c r="H15" s="57"/>
      <c r="I15" s="58" t="s">
        <v>4</v>
      </c>
      <c r="J15" s="57"/>
      <c r="K15" s="58" t="s">
        <v>4</v>
      </c>
      <c r="L15" s="57"/>
      <c r="M15" s="58" t="s">
        <v>5</v>
      </c>
      <c r="N15" s="13"/>
      <c r="O15" s="71"/>
      <c r="P15" s="52"/>
      <c r="Q15" s="52"/>
      <c r="R15" s="72"/>
      <c r="S15" s="14"/>
    </row>
    <row r="16" spans="1:19" ht="33.65" customHeight="1" x14ac:dyDescent="0.55000000000000004">
      <c r="A16" s="9"/>
      <c r="B16" s="31"/>
      <c r="C16" s="37" t="s">
        <v>13</v>
      </c>
      <c r="D16" s="80" t="s">
        <v>7</v>
      </c>
      <c r="E16" s="56" t="s">
        <v>22</v>
      </c>
      <c r="F16" s="57" t="s">
        <v>2</v>
      </c>
      <c r="G16" s="58" t="s">
        <v>3</v>
      </c>
      <c r="H16" s="57"/>
      <c r="I16" s="58" t="s">
        <v>4</v>
      </c>
      <c r="J16" s="57"/>
      <c r="K16" s="58" t="s">
        <v>4</v>
      </c>
      <c r="L16" s="57"/>
      <c r="M16" s="58" t="s">
        <v>5</v>
      </c>
      <c r="N16" s="13"/>
      <c r="O16" s="71"/>
      <c r="P16" s="52"/>
      <c r="Q16" s="52"/>
      <c r="R16" s="72"/>
      <c r="S16" s="14"/>
    </row>
    <row r="17" spans="1:19" ht="33.65" customHeight="1" x14ac:dyDescent="0.55000000000000004">
      <c r="A17" s="9"/>
      <c r="B17" s="31"/>
      <c r="C17" s="37" t="s">
        <v>14</v>
      </c>
      <c r="D17" s="80" t="s">
        <v>7</v>
      </c>
      <c r="E17" s="56" t="s">
        <v>22</v>
      </c>
      <c r="F17" s="57" t="s">
        <v>2</v>
      </c>
      <c r="G17" s="58" t="s">
        <v>3</v>
      </c>
      <c r="H17" s="57"/>
      <c r="I17" s="58" t="s">
        <v>4</v>
      </c>
      <c r="J17" s="57"/>
      <c r="K17" s="58" t="s">
        <v>4</v>
      </c>
      <c r="L17" s="57"/>
      <c r="M17" s="58" t="s">
        <v>5</v>
      </c>
      <c r="N17" s="13"/>
      <c r="O17" s="71"/>
      <c r="P17" s="52"/>
      <c r="Q17" s="52"/>
      <c r="R17" s="72"/>
      <c r="S17" s="14"/>
    </row>
    <row r="18" spans="1:19" ht="33.65" customHeight="1" x14ac:dyDescent="0.55000000000000004">
      <c r="A18" s="9"/>
      <c r="B18" s="31"/>
      <c r="C18" s="37" t="s">
        <v>15</v>
      </c>
      <c r="D18" s="80" t="s">
        <v>7</v>
      </c>
      <c r="E18" s="56" t="s">
        <v>22</v>
      </c>
      <c r="F18" s="57" t="s">
        <v>2</v>
      </c>
      <c r="G18" s="58" t="s">
        <v>3</v>
      </c>
      <c r="H18" s="57"/>
      <c r="I18" s="58" t="s">
        <v>4</v>
      </c>
      <c r="J18" s="57"/>
      <c r="K18" s="58" t="s">
        <v>4</v>
      </c>
      <c r="L18" s="57"/>
      <c r="M18" s="58" t="s">
        <v>5</v>
      </c>
      <c r="N18" s="13"/>
      <c r="O18" s="73"/>
      <c r="P18" s="74"/>
      <c r="Q18" s="74"/>
      <c r="R18" s="75"/>
      <c r="S18" s="14"/>
    </row>
    <row r="19" spans="1:19" ht="33.65" customHeight="1" x14ac:dyDescent="0.55000000000000004">
      <c r="A19" s="33"/>
      <c r="B19" s="34"/>
      <c r="C19" s="35"/>
      <c r="D19" s="36"/>
      <c r="E19" s="39"/>
      <c r="F19" s="39"/>
      <c r="G19" s="39"/>
      <c r="H19" s="39"/>
      <c r="I19" s="39"/>
      <c r="J19" s="39"/>
      <c r="K19" s="39"/>
      <c r="L19" s="39"/>
      <c r="M19" s="40"/>
      <c r="N19" s="13"/>
      <c r="S19" s="14"/>
    </row>
    <row r="20" spans="1:19" ht="33.65" customHeight="1" x14ac:dyDescent="0.25">
      <c r="A20" s="9">
        <v>8</v>
      </c>
      <c r="B20" s="23" t="str">
        <f>VLOOKUP($D$2,項目!$A:$AZ,4,FALSE)</f>
        <v>Required</v>
      </c>
      <c r="C20" s="41" t="str">
        <f>VLOOKUP($D$2,項目!$A:$AZ,25,FALSE)</f>
        <v>Operating Temperature Range</v>
      </c>
      <c r="D20" s="63"/>
      <c r="E20" s="81" t="s">
        <v>9</v>
      </c>
      <c r="F20" s="7" t="s">
        <v>0</v>
      </c>
      <c r="G20" s="62"/>
      <c r="H20" s="81" t="s">
        <v>9</v>
      </c>
      <c r="I20" s="53"/>
      <c r="J20" s="53"/>
      <c r="K20" s="53"/>
      <c r="L20" s="53"/>
      <c r="M20" s="54"/>
      <c r="N20" s="13"/>
      <c r="S20" s="14"/>
    </row>
    <row r="21" spans="1:19" ht="33.65" customHeight="1" x14ac:dyDescent="0.25">
      <c r="A21" s="15">
        <v>9</v>
      </c>
      <c r="B21" s="42" t="str">
        <f>VLOOKUP($D$2,項目!$A:$AZ,5,FALSE)</f>
        <v>Optional</v>
      </c>
      <c r="C21" s="43" t="str">
        <f>VLOOKUP($D$2,項目!$A:$AZ,26,FALSE)</f>
        <v>Max. Transformer Temperature</v>
      </c>
      <c r="D21" s="62"/>
      <c r="E21" s="82" t="s">
        <v>9</v>
      </c>
      <c r="F21" s="59"/>
      <c r="G21" s="59"/>
      <c r="H21" s="59"/>
      <c r="I21" s="59"/>
      <c r="J21" s="59"/>
      <c r="K21" s="59"/>
      <c r="L21" s="59"/>
      <c r="M21" s="60"/>
      <c r="N21" s="13"/>
      <c r="S21" s="14"/>
    </row>
    <row r="22" spans="1:19" ht="33.65" customHeight="1" x14ac:dyDescent="0.25">
      <c r="A22" s="9">
        <v>10</v>
      </c>
      <c r="B22" s="20" t="str">
        <f>VLOOKUP($D$2,項目!$A:$AZ,4,FALSE)</f>
        <v>Required</v>
      </c>
      <c r="C22" s="21" t="str">
        <f>VLOOKUP($D$2,項目!$A:$AZ,27,FALSE)</f>
        <v>Dielectric Strength</v>
      </c>
      <c r="D22" s="44" t="str">
        <f>VLOOKUP($D$2,項目!$A:$AZ,28,FALSE)</f>
        <v>Pre. - Sec.</v>
      </c>
      <c r="E22" s="55" t="s">
        <v>7</v>
      </c>
      <c r="F22" s="61" t="s">
        <v>1</v>
      </c>
      <c r="G22" s="45" t="str">
        <f>VLOOKUP($D$2,項目!$A:$AZ,31,FALSE)</f>
        <v>1 minute</v>
      </c>
      <c r="M22" s="22"/>
      <c r="N22" s="13"/>
      <c r="S22" s="14"/>
    </row>
    <row r="23" spans="1:19" ht="33.65" customHeight="1" x14ac:dyDescent="0.25">
      <c r="A23" s="9"/>
      <c r="B23" s="31"/>
      <c r="C23" s="46"/>
      <c r="D23" s="44" t="str">
        <f>VLOOKUP($D$2,項目!$A:$AZ,29,FALSE)</f>
        <v>Pre. - Core</v>
      </c>
      <c r="E23" s="55" t="s">
        <v>7</v>
      </c>
      <c r="F23" s="62" t="s">
        <v>1</v>
      </c>
      <c r="G23" s="45" t="str">
        <f>VLOOKUP($D$2,項目!$A:$AZ,31,FALSE)</f>
        <v>1 minute</v>
      </c>
      <c r="M23" s="22"/>
      <c r="N23" s="13"/>
      <c r="S23" s="14"/>
    </row>
    <row r="24" spans="1:19" ht="33.65" customHeight="1" x14ac:dyDescent="0.25">
      <c r="A24" s="9"/>
      <c r="B24" s="31"/>
      <c r="C24" s="46"/>
      <c r="D24" s="44" t="str">
        <f>VLOOKUP($D$2,項目!$A:$AZ,30,FALSE)</f>
        <v>Sec. - Core</v>
      </c>
      <c r="E24" s="55" t="s">
        <v>7</v>
      </c>
      <c r="F24" s="63" t="s">
        <v>1</v>
      </c>
      <c r="G24" s="45" t="str">
        <f>VLOOKUP($D$2,項目!$A:$AZ,31,FALSE)</f>
        <v>1 minute</v>
      </c>
      <c r="M24" s="22"/>
      <c r="N24" s="13"/>
      <c r="S24" s="14"/>
    </row>
    <row r="25" spans="1:19" ht="33.65" customHeight="1" x14ac:dyDescent="0.55000000000000004">
      <c r="A25" s="15">
        <v>11</v>
      </c>
      <c r="B25" s="27" t="str">
        <f>VLOOKUP($D$2,項目!$A:$AZ,4,FALSE)</f>
        <v>Required</v>
      </c>
      <c r="C25" s="24" t="str">
        <f>VLOOKUP($D$2,項目!$A:$AZ,32,FALSE)</f>
        <v>Thermal Class</v>
      </c>
      <c r="D25" s="25" t="str">
        <f>VLOOKUP($D$2,項目!$A:$AZ,33,FALSE)</f>
        <v>□A、□B、□E、□Others</v>
      </c>
      <c r="E25" s="26"/>
      <c r="F25" s="26"/>
      <c r="G25" s="65"/>
      <c r="H25" s="66"/>
      <c r="I25" s="66"/>
      <c r="J25" s="66"/>
      <c r="K25" s="66"/>
      <c r="L25" s="66"/>
      <c r="M25" s="67"/>
      <c r="N25" s="13"/>
      <c r="S25" s="14"/>
    </row>
    <row r="26" spans="1:19" ht="33.65" customHeight="1" x14ac:dyDescent="0.55000000000000004">
      <c r="A26" s="86">
        <v>12</v>
      </c>
      <c r="B26" s="88" t="str">
        <f>VLOOKUP($D$2,項目!$A:$AZ,5,FALSE)</f>
        <v>Optional</v>
      </c>
      <c r="C26" s="21" t="str">
        <f>VLOOKUP($D$2,項目!$A:$AZ,34,FALSE)</f>
        <v xml:space="preserve">Other Reqirements </v>
      </c>
      <c r="D26" s="90"/>
      <c r="E26" s="91"/>
      <c r="F26" s="91"/>
      <c r="G26" s="91"/>
      <c r="H26" s="91"/>
      <c r="I26" s="91"/>
      <c r="J26" s="91"/>
      <c r="K26" s="91"/>
      <c r="L26" s="91"/>
      <c r="M26" s="92"/>
      <c r="N26" s="13"/>
      <c r="S26" s="14"/>
    </row>
    <row r="27" spans="1:19" ht="33.75" customHeight="1" thickBot="1" x14ac:dyDescent="0.6">
      <c r="A27" s="87"/>
      <c r="B27" s="89"/>
      <c r="C27" s="47" t="str">
        <f>VLOOKUP($D$2,項目!$A:$AZ,35,FALSE)</f>
        <v>Design Priorities</v>
      </c>
      <c r="D27" s="93"/>
      <c r="E27" s="94"/>
      <c r="F27" s="94"/>
      <c r="G27" s="94"/>
      <c r="H27" s="94"/>
      <c r="I27" s="94"/>
      <c r="J27" s="94"/>
      <c r="K27" s="94"/>
      <c r="L27" s="94"/>
      <c r="M27" s="95"/>
      <c r="N27" s="48"/>
      <c r="O27" s="49"/>
      <c r="P27" s="49"/>
      <c r="Q27" s="49"/>
      <c r="R27" s="49"/>
      <c r="S27" s="50"/>
    </row>
  </sheetData>
  <sheetProtection algorithmName="SHA-512" hashValue="vV0reXYjKKUoCXrftruhNFAGsoFKTCV03KuTqC0WDptYXrrSBsp2LIupwxlI6asKdb6Ky82mIaJ6bPIjv1aK9A==" saltValue="bDVmc4M8je+s3ZUMI7fP4w==" spinCount="100000" sheet="1" objects="1" scenarios="1"/>
  <mergeCells count="17">
    <mergeCell ref="A2:C2"/>
    <mergeCell ref="D2:E2"/>
    <mergeCell ref="D4:M4"/>
    <mergeCell ref="O4:R4"/>
    <mergeCell ref="C5:C6"/>
    <mergeCell ref="O5:R5"/>
    <mergeCell ref="L6:M6"/>
    <mergeCell ref="I5:M5"/>
    <mergeCell ref="A26:A27"/>
    <mergeCell ref="B26:B27"/>
    <mergeCell ref="D26:M27"/>
    <mergeCell ref="D8:M8"/>
    <mergeCell ref="O10:R10"/>
    <mergeCell ref="D13:G13"/>
    <mergeCell ref="H13:I13"/>
    <mergeCell ref="J13:K13"/>
    <mergeCell ref="L13:M13"/>
  </mergeCells>
  <phoneticPr fontId="2"/>
  <printOptions horizontalCentered="1" verticalCentered="1"/>
  <pageMargins left="0.70866141732283472" right="0.70866141732283472" top="0.15748031496062992" bottom="0.15748031496062992" header="0.31496062992125984" footer="0.31496062992125984"/>
  <pageSetup paperSize="9" scale="61" orientation="landscape" r:id="rId1"/>
  <ignoredErrors>
    <ignoredError sqref="B21 B8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CE4342A-BDCD-4CAF-9F0E-2FAAD4DAAE58}">
          <x14:formula1>
            <xm:f>項目!$A$3:$A$5</xm:f>
          </x14:formula1>
          <xm:sqref>D2:E2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544E8-2AC4-444F-9FE6-D1E162D1DF6E}">
  <dimension ref="A1:AN5"/>
  <sheetViews>
    <sheetView workbookViewId="0">
      <pane xSplit="1" ySplit="2" topLeftCell="Y3" activePane="bottomRight" state="frozen"/>
      <selection pane="topRight" activeCell="B1" sqref="B1"/>
      <selection pane="bottomLeft" activeCell="A2" sqref="A2"/>
      <selection pane="bottomRight" activeCell="AF4" sqref="AF4"/>
    </sheetView>
  </sheetViews>
  <sheetFormatPr defaultRowHeight="18" x14ac:dyDescent="0.55000000000000004"/>
  <cols>
    <col min="1" max="1" width="8.6640625" style="1"/>
    <col min="2" max="3" width="9.33203125" style="1" customWidth="1"/>
    <col min="4" max="9" width="8.6640625" style="1"/>
    <col min="10" max="15" width="9.9140625" style="1" customWidth="1"/>
    <col min="16" max="16384" width="8.6640625" style="1"/>
  </cols>
  <sheetData>
    <row r="1" spans="1:40" x14ac:dyDescent="0.55000000000000004">
      <c r="B1" s="1">
        <v>2</v>
      </c>
      <c r="C1" s="1">
        <f>B1+1</f>
        <v>3</v>
      </c>
      <c r="D1" s="1">
        <f t="shared" ref="D1:AB1" si="0">C1+1</f>
        <v>4</v>
      </c>
      <c r="E1" s="1">
        <f t="shared" si="0"/>
        <v>5</v>
      </c>
      <c r="F1" s="1">
        <f t="shared" si="0"/>
        <v>6</v>
      </c>
      <c r="G1" s="1">
        <f t="shared" si="0"/>
        <v>7</v>
      </c>
      <c r="H1" s="1">
        <f t="shared" si="0"/>
        <v>8</v>
      </c>
      <c r="I1" s="1">
        <f t="shared" si="0"/>
        <v>9</v>
      </c>
      <c r="J1" s="1">
        <f t="shared" si="0"/>
        <v>10</v>
      </c>
      <c r="K1" s="1">
        <f t="shared" si="0"/>
        <v>11</v>
      </c>
      <c r="L1" s="1">
        <f t="shared" si="0"/>
        <v>12</v>
      </c>
      <c r="M1" s="1">
        <f t="shared" si="0"/>
        <v>13</v>
      </c>
      <c r="N1" s="1">
        <f t="shared" si="0"/>
        <v>14</v>
      </c>
      <c r="O1" s="1">
        <f t="shared" si="0"/>
        <v>15</v>
      </c>
      <c r="P1" s="1">
        <f t="shared" si="0"/>
        <v>16</v>
      </c>
      <c r="Q1" s="1">
        <f t="shared" si="0"/>
        <v>17</v>
      </c>
      <c r="R1" s="1">
        <f t="shared" si="0"/>
        <v>18</v>
      </c>
      <c r="S1" s="1">
        <f t="shared" si="0"/>
        <v>19</v>
      </c>
      <c r="T1" s="1">
        <f t="shared" si="0"/>
        <v>20</v>
      </c>
      <c r="U1" s="1">
        <f t="shared" si="0"/>
        <v>21</v>
      </c>
      <c r="V1" s="1">
        <f t="shared" si="0"/>
        <v>22</v>
      </c>
      <c r="W1" s="1">
        <f t="shared" si="0"/>
        <v>23</v>
      </c>
      <c r="X1" s="1">
        <f t="shared" si="0"/>
        <v>24</v>
      </c>
      <c r="Y1" s="1">
        <f t="shared" si="0"/>
        <v>25</v>
      </c>
      <c r="Z1" s="1">
        <f t="shared" si="0"/>
        <v>26</v>
      </c>
      <c r="AA1" s="1">
        <f t="shared" si="0"/>
        <v>27</v>
      </c>
      <c r="AB1" s="1">
        <f t="shared" si="0"/>
        <v>28</v>
      </c>
      <c r="AC1" s="1">
        <f t="shared" ref="AC1" si="1">AB1+1</f>
        <v>29</v>
      </c>
      <c r="AD1" s="1">
        <f t="shared" ref="AD1" si="2">AC1+1</f>
        <v>30</v>
      </c>
      <c r="AE1" s="1">
        <f t="shared" ref="AE1" si="3">AD1+1</f>
        <v>31</v>
      </c>
      <c r="AF1" s="1">
        <f t="shared" ref="AF1" si="4">AE1+1</f>
        <v>32</v>
      </c>
      <c r="AG1" s="1">
        <f t="shared" ref="AG1" si="5">AF1+1</f>
        <v>33</v>
      </c>
      <c r="AH1" s="1">
        <f t="shared" ref="AH1" si="6">AG1+1</f>
        <v>34</v>
      </c>
      <c r="AI1" s="1">
        <f t="shared" ref="AI1" si="7">AH1+1</f>
        <v>35</v>
      </c>
      <c r="AJ1" s="1">
        <f t="shared" ref="AJ1" si="8">AI1+1</f>
        <v>36</v>
      </c>
      <c r="AK1" s="1">
        <f t="shared" ref="AK1" si="9">AJ1+1</f>
        <v>37</v>
      </c>
      <c r="AL1" s="1">
        <v>38</v>
      </c>
      <c r="AM1" s="1">
        <v>39</v>
      </c>
      <c r="AN1" s="1">
        <v>40</v>
      </c>
    </row>
    <row r="2" spans="1:40" x14ac:dyDescent="0.55000000000000004">
      <c r="A2" s="1" t="s">
        <v>24</v>
      </c>
      <c r="B2" s="1" t="s">
        <v>30</v>
      </c>
      <c r="C2" s="1" t="s">
        <v>146</v>
      </c>
      <c r="D2" s="1" t="s">
        <v>34</v>
      </c>
      <c r="E2" s="1" t="s">
        <v>35</v>
      </c>
      <c r="F2" s="1" t="s">
        <v>40</v>
      </c>
      <c r="G2" s="1" t="s">
        <v>41</v>
      </c>
      <c r="H2" s="1" t="s">
        <v>42</v>
      </c>
      <c r="I2" s="1" t="s">
        <v>51</v>
      </c>
      <c r="J2" s="1" t="s">
        <v>109</v>
      </c>
      <c r="K2" s="1" t="s">
        <v>110</v>
      </c>
      <c r="L2" s="1" t="s">
        <v>111</v>
      </c>
      <c r="M2" s="1" t="s">
        <v>112</v>
      </c>
      <c r="N2" s="1" t="s">
        <v>113</v>
      </c>
      <c r="O2" s="1" t="s">
        <v>114</v>
      </c>
      <c r="P2" s="1" t="s">
        <v>53</v>
      </c>
      <c r="Q2" s="1" t="s">
        <v>57</v>
      </c>
      <c r="R2" s="1" t="s">
        <v>61</v>
      </c>
      <c r="S2" s="1" t="s">
        <v>65</v>
      </c>
      <c r="T2" s="1" t="s">
        <v>69</v>
      </c>
      <c r="U2" s="1" t="s">
        <v>130</v>
      </c>
      <c r="V2" s="1" t="s">
        <v>131</v>
      </c>
      <c r="W2" s="1" t="s">
        <v>132</v>
      </c>
      <c r="X2" s="1" t="s">
        <v>133</v>
      </c>
      <c r="Y2" s="1" t="s">
        <v>72</v>
      </c>
      <c r="Z2" s="1" t="s">
        <v>75</v>
      </c>
      <c r="AA2" s="1" t="s">
        <v>79</v>
      </c>
      <c r="AB2" s="1" t="s">
        <v>102</v>
      </c>
      <c r="AC2" s="1" t="s">
        <v>105</v>
      </c>
      <c r="AD2" s="1" t="s">
        <v>152</v>
      </c>
      <c r="AE2" s="1" t="s">
        <v>153</v>
      </c>
      <c r="AF2" s="1" t="s">
        <v>83</v>
      </c>
      <c r="AG2" s="1" t="s">
        <v>151</v>
      </c>
      <c r="AH2" s="1" t="s">
        <v>87</v>
      </c>
      <c r="AI2" s="1" t="s">
        <v>92</v>
      </c>
      <c r="AJ2" s="1" t="s">
        <v>94</v>
      </c>
      <c r="AK2" s="1" t="s">
        <v>96</v>
      </c>
      <c r="AL2" s="1" t="s">
        <v>159</v>
      </c>
      <c r="AM2" s="1" t="s">
        <v>160</v>
      </c>
      <c r="AN2" s="1" t="s">
        <v>174</v>
      </c>
    </row>
    <row r="3" spans="1:40" ht="90" x14ac:dyDescent="0.55000000000000004">
      <c r="A3" s="1" t="s">
        <v>27</v>
      </c>
      <c r="B3" s="1" t="s">
        <v>25</v>
      </c>
      <c r="C3" s="1" t="s">
        <v>147</v>
      </c>
      <c r="D3" s="1" t="s">
        <v>31</v>
      </c>
      <c r="E3" s="1" t="s">
        <v>36</v>
      </c>
      <c r="F3" s="1" t="s">
        <v>40</v>
      </c>
      <c r="G3" s="1" t="s">
        <v>43</v>
      </c>
      <c r="H3" s="1" t="s">
        <v>47</v>
      </c>
      <c r="I3" s="1" t="s">
        <v>51</v>
      </c>
      <c r="J3" s="1" t="s">
        <v>115</v>
      </c>
      <c r="K3" s="1" t="s">
        <v>118</v>
      </c>
      <c r="L3" s="1" t="s">
        <v>121</v>
      </c>
      <c r="M3" s="1" t="s">
        <v>124</v>
      </c>
      <c r="N3" s="1" t="s">
        <v>171</v>
      </c>
      <c r="O3" s="1" t="s">
        <v>127</v>
      </c>
      <c r="P3" s="1" t="s">
        <v>54</v>
      </c>
      <c r="Q3" s="1" t="s">
        <v>58</v>
      </c>
      <c r="R3" s="1" t="s">
        <v>62</v>
      </c>
      <c r="S3" s="1" t="s">
        <v>66</v>
      </c>
      <c r="T3" s="1" t="s">
        <v>70</v>
      </c>
      <c r="U3" s="1" t="s">
        <v>134</v>
      </c>
      <c r="V3" s="1" t="s">
        <v>136</v>
      </c>
      <c r="W3" s="1" t="s">
        <v>138</v>
      </c>
      <c r="X3" s="1" t="s">
        <v>140</v>
      </c>
      <c r="Y3" s="1" t="s">
        <v>73</v>
      </c>
      <c r="Z3" s="1" t="s">
        <v>76</v>
      </c>
      <c r="AA3" s="1" t="s">
        <v>80</v>
      </c>
      <c r="AB3" s="1" t="s">
        <v>103</v>
      </c>
      <c r="AC3" s="1" t="s">
        <v>154</v>
      </c>
      <c r="AD3" s="1" t="s">
        <v>155</v>
      </c>
      <c r="AE3" s="1" t="s">
        <v>106</v>
      </c>
      <c r="AF3" s="1" t="s">
        <v>84</v>
      </c>
      <c r="AG3" s="1" t="s">
        <v>168</v>
      </c>
      <c r="AH3" s="1" t="s">
        <v>88</v>
      </c>
      <c r="AI3" s="1" t="s">
        <v>90</v>
      </c>
      <c r="AJ3" s="1" t="s">
        <v>97</v>
      </c>
      <c r="AK3" s="1" t="s">
        <v>95</v>
      </c>
      <c r="AL3" s="1" t="s">
        <v>162</v>
      </c>
      <c r="AM3" s="1" t="s">
        <v>166</v>
      </c>
      <c r="AN3" s="1" t="s">
        <v>177</v>
      </c>
    </row>
    <row r="4" spans="1:40" ht="90" x14ac:dyDescent="0.55000000000000004">
      <c r="A4" s="1" t="s">
        <v>28</v>
      </c>
      <c r="B4" s="1" t="s">
        <v>26</v>
      </c>
      <c r="C4" s="1" t="s">
        <v>148</v>
      </c>
      <c r="D4" s="1" t="s">
        <v>32</v>
      </c>
      <c r="E4" s="1" t="s">
        <v>37</v>
      </c>
      <c r="F4" s="1" t="s">
        <v>46</v>
      </c>
      <c r="G4" s="1" t="s">
        <v>44</v>
      </c>
      <c r="H4" s="1" t="s">
        <v>48</v>
      </c>
      <c r="I4" s="1" t="s">
        <v>50</v>
      </c>
      <c r="J4" s="1" t="s">
        <v>116</v>
      </c>
      <c r="K4" s="1" t="s">
        <v>119</v>
      </c>
      <c r="L4" s="1" t="s">
        <v>122</v>
      </c>
      <c r="M4" s="1" t="s">
        <v>125</v>
      </c>
      <c r="N4" s="1" t="s">
        <v>172</v>
      </c>
      <c r="O4" s="1" t="s">
        <v>128</v>
      </c>
      <c r="P4" s="1" t="s">
        <v>55</v>
      </c>
      <c r="Q4" s="1" t="s">
        <v>59</v>
      </c>
      <c r="R4" s="1" t="s">
        <v>63</v>
      </c>
      <c r="S4" s="1" t="s">
        <v>67</v>
      </c>
      <c r="T4" s="1" t="s">
        <v>71</v>
      </c>
      <c r="U4" s="1" t="s">
        <v>135</v>
      </c>
      <c r="V4" s="1" t="s">
        <v>137</v>
      </c>
      <c r="W4" s="1" t="s">
        <v>139</v>
      </c>
      <c r="X4" s="1" t="s">
        <v>141</v>
      </c>
      <c r="Y4" s="1" t="s">
        <v>74</v>
      </c>
      <c r="Z4" s="1" t="s">
        <v>77</v>
      </c>
      <c r="AA4" s="1" t="s">
        <v>81</v>
      </c>
      <c r="AB4" s="1" t="s">
        <v>179</v>
      </c>
      <c r="AC4" s="1" t="s">
        <v>180</v>
      </c>
      <c r="AD4" s="1" t="s">
        <v>181</v>
      </c>
      <c r="AE4" s="1" t="s">
        <v>107</v>
      </c>
      <c r="AF4" s="1" t="s">
        <v>85</v>
      </c>
      <c r="AG4" s="1" t="s">
        <v>169</v>
      </c>
      <c r="AH4" s="1" t="s">
        <v>89</v>
      </c>
      <c r="AI4" s="1" t="s">
        <v>91</v>
      </c>
      <c r="AJ4" s="1" t="s">
        <v>98</v>
      </c>
      <c r="AK4" s="1" t="s">
        <v>100</v>
      </c>
      <c r="AL4" s="1" t="s">
        <v>161</v>
      </c>
      <c r="AM4" s="1" t="s">
        <v>164</v>
      </c>
      <c r="AN4" s="1" t="s">
        <v>175</v>
      </c>
    </row>
    <row r="5" spans="1:40" s="2" customFormat="1" ht="49.5" x14ac:dyDescent="0.55000000000000004">
      <c r="A5" s="2" t="s">
        <v>158</v>
      </c>
      <c r="B5" s="3" t="s">
        <v>29</v>
      </c>
      <c r="C5" s="3" t="s">
        <v>149</v>
      </c>
      <c r="D5" s="2" t="s">
        <v>33</v>
      </c>
      <c r="E5" s="3" t="s">
        <v>38</v>
      </c>
      <c r="F5" s="2" t="s">
        <v>39</v>
      </c>
      <c r="G5" s="2" t="s">
        <v>45</v>
      </c>
      <c r="H5" s="2" t="s">
        <v>49</v>
      </c>
      <c r="I5" s="2" t="s">
        <v>52</v>
      </c>
      <c r="J5" s="2" t="s">
        <v>117</v>
      </c>
      <c r="K5" s="2" t="s">
        <v>120</v>
      </c>
      <c r="L5" s="2" t="s">
        <v>123</v>
      </c>
      <c r="M5" s="2" t="s">
        <v>126</v>
      </c>
      <c r="N5" s="2" t="s">
        <v>173</v>
      </c>
      <c r="O5" s="2" t="s">
        <v>129</v>
      </c>
      <c r="P5" s="2" t="s">
        <v>56</v>
      </c>
      <c r="Q5" s="2" t="s">
        <v>60</v>
      </c>
      <c r="R5" s="2" t="s">
        <v>64</v>
      </c>
      <c r="S5" s="2" t="s">
        <v>68</v>
      </c>
      <c r="T5" s="2" t="s">
        <v>68</v>
      </c>
      <c r="U5" s="2" t="s">
        <v>142</v>
      </c>
      <c r="V5" s="2" t="s">
        <v>143</v>
      </c>
      <c r="W5" s="2" t="s">
        <v>144</v>
      </c>
      <c r="X5" s="2" t="s">
        <v>145</v>
      </c>
      <c r="Y5" s="2" t="s">
        <v>68</v>
      </c>
      <c r="Z5" s="2" t="s">
        <v>78</v>
      </c>
      <c r="AA5" s="2" t="s">
        <v>82</v>
      </c>
      <c r="AB5" s="2" t="s">
        <v>104</v>
      </c>
      <c r="AC5" s="2" t="s">
        <v>156</v>
      </c>
      <c r="AD5" s="2" t="s">
        <v>157</v>
      </c>
      <c r="AE5" s="2" t="s">
        <v>108</v>
      </c>
      <c r="AF5" s="2" t="s">
        <v>86</v>
      </c>
      <c r="AG5" s="2" t="s">
        <v>170</v>
      </c>
      <c r="AH5" s="2" t="s">
        <v>150</v>
      </c>
      <c r="AI5" s="2" t="s">
        <v>93</v>
      </c>
      <c r="AJ5" s="2" t="s">
        <v>99</v>
      </c>
      <c r="AK5" s="2" t="s">
        <v>101</v>
      </c>
      <c r="AL5" s="2" t="s">
        <v>163</v>
      </c>
      <c r="AM5" s="2" t="s">
        <v>165</v>
      </c>
      <c r="AN5" s="2" t="s">
        <v>176</v>
      </c>
    </row>
  </sheetData>
  <sheetProtection algorithmName="SHA-512" hashValue="xPE++zPLrWLOMgnMHD0Fap3QpzB1Zl2hUcDyUhzdW6Wl4Rtz8GL0ZXcuq121DnqMu2CbF6mmsahUbcTa8X0hOw==" saltValue="yNevHzQyBr0fTnRILVwk2A==" spinCount="100000"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</vt:lpstr>
      <vt:lpstr>項目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土田　知佳</dc:creator>
  <cp:lastModifiedBy>STJS0014</cp:lastModifiedBy>
  <cp:lastPrinted>2025-12-08T22:39:20Z</cp:lastPrinted>
  <dcterms:created xsi:type="dcterms:W3CDTF">2024-06-26T00:08:33Z</dcterms:created>
  <dcterms:modified xsi:type="dcterms:W3CDTF">2025-12-08T23:06:56Z</dcterms:modified>
</cp:coreProperties>
</file>